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935" activeTab="3"/>
  </bookViews>
  <sheets>
    <sheet name="Dati" sheetId="1" r:id="rId1"/>
    <sheet name="SLU" sheetId="2" r:id="rId2"/>
    <sheet name="SLE" sheetId="3" r:id="rId3"/>
    <sheet name="TravePrincipale" sheetId="4" r:id="rId4"/>
  </sheets>
  <calcPr calcId="145621"/>
</workbook>
</file>

<file path=xl/calcChain.xml><?xml version="1.0" encoding="utf-8"?>
<calcChain xmlns="http://schemas.openxmlformats.org/spreadsheetml/2006/main">
  <c r="E6" i="4" l="1"/>
  <c r="E3" i="4"/>
  <c r="E5" i="4"/>
  <c r="E4" i="4"/>
  <c r="K5" i="4"/>
  <c r="K4" i="4"/>
  <c r="B35" i="4" l="1"/>
  <c r="B27" i="2"/>
  <c r="E19" i="3"/>
  <c r="E17" i="3"/>
  <c r="E15" i="3"/>
  <c r="E3" i="3"/>
  <c r="E2" i="3"/>
  <c r="B3" i="3"/>
  <c r="B17" i="2"/>
  <c r="H16" i="1"/>
  <c r="B9" i="1" s="1"/>
  <c r="K3" i="4" s="1"/>
  <c r="B14" i="4" s="1"/>
  <c r="B17" i="4" s="1"/>
  <c r="B42" i="4" s="1"/>
  <c r="E19" i="1"/>
  <c r="H7" i="4" s="1"/>
  <c r="E18" i="1"/>
  <c r="E17" i="1"/>
  <c r="H6" i="4" s="1"/>
  <c r="E16" i="1"/>
  <c r="H5" i="4" s="1"/>
  <c r="B22" i="1"/>
  <c r="H4" i="4" s="1"/>
  <c r="E43" i="4" s="1"/>
  <c r="B21" i="1"/>
  <c r="B20" i="1"/>
  <c r="B19" i="1"/>
  <c r="E6" i="1"/>
  <c r="B18" i="1" s="1"/>
  <c r="E27" i="2" l="1"/>
  <c r="B43" i="4"/>
  <c r="B45" i="4" s="1"/>
  <c r="E14" i="4"/>
  <c r="E16" i="4" s="1"/>
  <c r="E23" i="4" s="1"/>
  <c r="B46" i="4"/>
  <c r="B16" i="4"/>
  <c r="B23" i="4" s="1"/>
  <c r="E17" i="4"/>
  <c r="E42" i="4" s="1"/>
  <c r="B2" i="3"/>
  <c r="B7" i="3" s="1"/>
  <c r="E7" i="3" s="1"/>
  <c r="B8" i="2"/>
  <c r="B10" i="2" s="1"/>
  <c r="B19" i="2" s="1"/>
  <c r="E8" i="2"/>
  <c r="E11" i="2" s="1"/>
  <c r="E26" i="2" s="1"/>
  <c r="B12" i="3"/>
  <c r="E12" i="3" s="1"/>
  <c r="B17" i="3" s="1"/>
  <c r="E10" i="2"/>
  <c r="E19" i="2" s="1"/>
  <c r="B16" i="1"/>
  <c r="H3" i="4" s="1"/>
  <c r="E26" i="4" l="1"/>
  <c r="E46" i="4"/>
  <c r="E45" i="4"/>
  <c r="B24" i="4"/>
  <c r="B32" i="4" s="1"/>
  <c r="E24" i="4"/>
  <c r="E32" i="4" s="1"/>
  <c r="B17" i="1"/>
  <c r="B11" i="2"/>
  <c r="B26" i="2" s="1"/>
  <c r="B15" i="3"/>
  <c r="D15" i="3" s="1"/>
  <c r="E34" i="4"/>
  <c r="B27" i="4"/>
  <c r="B31" i="4"/>
  <c r="E31" i="4"/>
  <c r="E27" i="4"/>
  <c r="E20" i="2"/>
  <c r="E29" i="2" s="1"/>
  <c r="B20" i="2"/>
  <c r="B22" i="2"/>
  <c r="B29" i="2"/>
  <c r="D17" i="3"/>
  <c r="B19" i="3"/>
  <c r="D19" i="3" s="1"/>
  <c r="E35" i="4" l="1"/>
  <c r="B26" i="4"/>
  <c r="E22" i="2"/>
  <c r="E38" i="4" l="1"/>
  <c r="E37" i="4"/>
  <c r="B37" i="4"/>
  <c r="B38" i="4"/>
</calcChain>
</file>

<file path=xl/sharedStrings.xml><?xml version="1.0" encoding="utf-8"?>
<sst xmlns="http://schemas.openxmlformats.org/spreadsheetml/2006/main" count="217" uniqueCount="98">
  <si>
    <t>b=</t>
  </si>
  <si>
    <t>h=</t>
  </si>
  <si>
    <t>mm</t>
  </si>
  <si>
    <t>I=</t>
  </si>
  <si>
    <r>
      <t>mm</t>
    </r>
    <r>
      <rPr>
        <vertAlign val="superscript"/>
        <sz val="11"/>
        <color theme="1"/>
        <rFont val="Calibri"/>
        <family val="2"/>
        <scheme val="minor"/>
      </rPr>
      <t>4</t>
    </r>
  </si>
  <si>
    <t>L=</t>
  </si>
  <si>
    <t>Caratteristiche geometriche</t>
  </si>
  <si>
    <t>i=</t>
  </si>
  <si>
    <t>Carichi</t>
  </si>
  <si>
    <r>
      <t>Q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=</t>
    </r>
  </si>
  <si>
    <r>
      <t>kN/m</t>
    </r>
    <r>
      <rPr>
        <vertAlign val="superscript"/>
        <sz val="11"/>
        <color theme="1"/>
        <rFont val="Calibri"/>
        <family val="2"/>
        <scheme val="minor"/>
      </rPr>
      <t>2</t>
    </r>
  </si>
  <si>
    <t>Caratteristiche del materiale</t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</si>
  <si>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=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</si>
  <si>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</si>
  <si>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k</t>
    </r>
    <r>
      <rPr>
        <vertAlign val="subscript"/>
        <sz val="11"/>
        <color theme="1"/>
        <rFont val="Calibri"/>
        <family val="2"/>
        <scheme val="minor"/>
      </rPr>
      <t>def</t>
    </r>
    <r>
      <rPr>
        <sz val="11"/>
        <color theme="1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</si>
  <si>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=</t>
    </r>
  </si>
  <si>
    <t>MPa</t>
  </si>
  <si>
    <r>
      <t>f</t>
    </r>
    <r>
      <rPr>
        <vertAlign val="subscript"/>
        <sz val="11"/>
        <color theme="1"/>
        <rFont val="Calibri"/>
        <family val="2"/>
        <scheme val="minor"/>
      </rPr>
      <t>t,0,l,k</t>
    </r>
    <r>
      <rPr>
        <sz val="11"/>
        <color theme="1"/>
        <rFont val="Calibri"/>
        <family val="2"/>
        <scheme val="minor"/>
      </rPr>
      <t>=</t>
    </r>
  </si>
  <si>
    <r>
      <t>E</t>
    </r>
    <r>
      <rPr>
        <vertAlign val="subscript"/>
        <sz val="11"/>
        <color theme="1"/>
        <rFont val="Calibri"/>
        <family val="2"/>
        <scheme val="minor"/>
      </rPr>
      <t>0,l,mean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</si>
  <si>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m,y,k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</si>
  <si>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m,z,k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</si>
  <si>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t,0,k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</si>
  <si>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t,90,k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</si>
  <si>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c,0,k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</si>
  <si>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c,90,k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</si>
  <si>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v,k</t>
    </r>
    <r>
      <rPr>
        <sz val="11"/>
        <color theme="1"/>
        <rFont val="Calibri"/>
        <family val="2"/>
        <scheme val="minor"/>
      </rPr>
      <t>=</t>
    </r>
  </si>
  <si>
    <r>
      <t>E</t>
    </r>
    <r>
      <rPr>
        <vertAlign val="subscript"/>
        <sz val="11"/>
        <color theme="1"/>
        <rFont val="Calibri"/>
        <family val="2"/>
        <scheme val="minor"/>
      </rPr>
      <t>0,g,mean</t>
    </r>
    <r>
      <rPr>
        <sz val="11"/>
        <color theme="1"/>
        <rFont val="Calibri"/>
        <family val="2"/>
        <scheme val="minor"/>
      </rPr>
      <t>=</t>
    </r>
  </si>
  <si>
    <r>
      <t>E</t>
    </r>
    <r>
      <rPr>
        <vertAlign val="subscript"/>
        <sz val="11"/>
        <color theme="1"/>
        <rFont val="Calibri"/>
        <family val="2"/>
        <scheme val="minor"/>
      </rPr>
      <t>0,g,05</t>
    </r>
    <r>
      <rPr>
        <sz val="11"/>
        <color theme="1"/>
        <rFont val="Calibri"/>
        <family val="2"/>
        <scheme val="minor"/>
      </rPr>
      <t>=</t>
    </r>
  </si>
  <si>
    <r>
      <t>E</t>
    </r>
    <r>
      <rPr>
        <vertAlign val="subscript"/>
        <sz val="11"/>
        <color theme="1"/>
        <rFont val="Calibri"/>
        <family val="2"/>
        <scheme val="minor"/>
      </rPr>
      <t>90,g,mean</t>
    </r>
    <r>
      <rPr>
        <sz val="11"/>
        <color theme="1"/>
        <rFont val="Calibri"/>
        <family val="2"/>
        <scheme val="minor"/>
      </rPr>
      <t>=</t>
    </r>
  </si>
  <si>
    <r>
      <t>G</t>
    </r>
    <r>
      <rPr>
        <vertAlign val="subscript"/>
        <sz val="11"/>
        <color theme="1"/>
        <rFont val="Calibri"/>
        <family val="2"/>
        <scheme val="minor"/>
      </rPr>
      <t>g,mean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</si>
  <si>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r</t>
    </r>
    <r>
      <rPr>
        <vertAlign val="subscript"/>
        <sz val="11"/>
        <color theme="1"/>
        <rFont val="Calibri"/>
        <family val="2"/>
        <scheme val="minor"/>
      </rPr>
      <t>l,k</t>
    </r>
    <r>
      <rPr>
        <sz val="11"/>
        <color theme="1"/>
        <rFont val="Calibri"/>
        <family val="2"/>
        <scheme val="minor"/>
      </rPr>
      <t>=</t>
    </r>
  </si>
  <si>
    <t>Combinazione 1</t>
  </si>
  <si>
    <t>Coefficienti parziali</t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</si>
  <si>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</si>
  <si>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>=</t>
    </r>
  </si>
  <si>
    <t>kNm</t>
  </si>
  <si>
    <t>kN/m</t>
  </si>
  <si>
    <r>
      <t>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</si>
  <si>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r>
      <t>G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</si>
  <si>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r>
      <t>M</t>
    </r>
    <r>
      <rPr>
        <vertAlign val="subscript"/>
        <sz val="11"/>
        <color theme="1"/>
        <rFont val="Calibri"/>
        <family val="2"/>
        <scheme val="minor"/>
      </rPr>
      <t>Ed,1</t>
    </r>
    <r>
      <rPr>
        <sz val="11"/>
        <color theme="1"/>
        <rFont val="Calibri"/>
        <family val="2"/>
        <scheme val="minor"/>
      </rPr>
      <t>=</t>
    </r>
  </si>
  <si>
    <r>
      <t>V</t>
    </r>
    <r>
      <rPr>
        <vertAlign val="subscript"/>
        <sz val="11"/>
        <color theme="1"/>
        <rFont val="Calibri"/>
        <family val="2"/>
        <scheme val="minor"/>
      </rPr>
      <t>Ed,1</t>
    </r>
    <r>
      <rPr>
        <sz val="11"/>
        <color theme="1"/>
        <rFont val="Calibri"/>
        <family val="2"/>
        <scheme val="minor"/>
      </rPr>
      <t>=</t>
    </r>
  </si>
  <si>
    <t>kN</t>
  </si>
  <si>
    <t>Combinazione 2</t>
  </si>
  <si>
    <r>
      <t>M</t>
    </r>
    <r>
      <rPr>
        <vertAlign val="subscript"/>
        <sz val="11"/>
        <color theme="1"/>
        <rFont val="Calibri"/>
        <family val="2"/>
        <scheme val="minor"/>
      </rPr>
      <t>Ed,2</t>
    </r>
    <r>
      <rPr>
        <sz val="11"/>
        <color theme="1"/>
        <rFont val="Calibri"/>
        <family val="2"/>
        <scheme val="minor"/>
      </rPr>
      <t>=</t>
    </r>
  </si>
  <si>
    <r>
      <t>V</t>
    </r>
    <r>
      <rPr>
        <vertAlign val="subscript"/>
        <sz val="11"/>
        <color theme="1"/>
        <rFont val="Calibri"/>
        <family val="2"/>
        <scheme val="minor"/>
      </rPr>
      <t>Ed,2</t>
    </r>
    <r>
      <rPr>
        <sz val="11"/>
        <color theme="1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</si>
  <si>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mod,1</t>
    </r>
    <r>
      <rPr>
        <sz val="11"/>
        <color theme="1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</si>
  <si>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mod,2</t>
    </r>
    <r>
      <rPr>
        <sz val="11"/>
        <color theme="1"/>
        <rFont val="Calibri"/>
        <family val="2"/>
        <scheme val="minor"/>
      </rPr>
      <t>=</t>
    </r>
  </si>
  <si>
    <r>
      <t>W</t>
    </r>
    <r>
      <rPr>
        <sz val="11"/>
        <color theme="1"/>
        <rFont val="Calibri"/>
        <family val="2"/>
        <scheme val="minor"/>
      </rPr>
      <t>=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</si>
  <si>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</si>
  <si>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</si>
  <si>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m,d,1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</si>
  <si>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m,d,1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</si>
  <si>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m,d,2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</si>
  <si>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m,d,2</t>
    </r>
    <r>
      <rPr>
        <sz val="11"/>
        <color theme="1"/>
        <rFont val="Calibri"/>
        <family val="2"/>
        <scheme val="minor"/>
      </rPr>
      <t>=</t>
    </r>
  </si>
  <si>
    <r>
      <t>FS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</si>
  <si>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r>
      <t>FS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</si>
  <si>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t</t>
    </r>
    <r>
      <rPr>
        <vertAlign val="subscript"/>
        <sz val="11"/>
        <color theme="1"/>
        <rFont val="Calibri"/>
        <family val="2"/>
        <scheme val="minor"/>
      </rPr>
      <t>d,1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</si>
  <si>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v,d,1</t>
    </r>
    <r>
      <rPr>
        <sz val="11"/>
        <color theme="1"/>
        <rFont val="Calibri"/>
        <family val="2"/>
        <scheme val="minor"/>
      </rPr>
      <t>=</t>
    </r>
  </si>
  <si>
    <t>- Flessione</t>
  </si>
  <si>
    <t>- Taglio</t>
  </si>
  <si>
    <r>
      <t>g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</si>
  <si>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=</t>
    </r>
  </si>
  <si>
    <t>A=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</si>
  <si>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</si>
  <si>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u</t>
    </r>
    <r>
      <rPr>
        <vertAlign val="subscript"/>
        <sz val="11"/>
        <color theme="1"/>
        <rFont val="Calibri"/>
        <family val="2"/>
        <scheme val="minor"/>
      </rPr>
      <t>g,ist</t>
    </r>
    <r>
      <rPr>
        <sz val="11"/>
        <color theme="1"/>
        <rFont val="Calibri"/>
        <family val="2"/>
        <scheme val="minor"/>
      </rPr>
      <t>=</t>
    </r>
  </si>
  <si>
    <t>Carichi Permanenti</t>
  </si>
  <si>
    <t>Carichi variabili</t>
  </si>
  <si>
    <r>
      <t>u</t>
    </r>
    <r>
      <rPr>
        <vertAlign val="subscript"/>
        <sz val="11"/>
        <color theme="1"/>
        <rFont val="Calibri"/>
        <family val="2"/>
        <scheme val="minor"/>
      </rPr>
      <t>q,ist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</si>
  <si>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y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</si>
  <si>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r>
      <t>u</t>
    </r>
    <r>
      <rPr>
        <vertAlign val="subscript"/>
        <sz val="11"/>
        <color theme="1"/>
        <rFont val="Calibri"/>
        <family val="2"/>
        <scheme val="minor"/>
      </rPr>
      <t>g,dif</t>
    </r>
    <r>
      <rPr>
        <sz val="11"/>
        <color theme="1"/>
        <rFont val="Calibri"/>
        <family val="2"/>
        <scheme val="minor"/>
      </rPr>
      <t>=</t>
    </r>
  </si>
  <si>
    <r>
      <t>u</t>
    </r>
    <r>
      <rPr>
        <vertAlign val="subscript"/>
        <sz val="11"/>
        <color theme="1"/>
        <rFont val="Calibri"/>
        <family val="2"/>
        <scheme val="minor"/>
      </rPr>
      <t>q,dif</t>
    </r>
    <r>
      <rPr>
        <sz val="11"/>
        <color theme="1"/>
        <rFont val="Calibri"/>
        <family val="2"/>
        <scheme val="minor"/>
      </rPr>
      <t>=</t>
    </r>
  </si>
  <si>
    <r>
      <t>u</t>
    </r>
    <r>
      <rPr>
        <vertAlign val="subscript"/>
        <sz val="11"/>
        <color theme="1"/>
        <rFont val="Calibri"/>
        <family val="2"/>
        <scheme val="minor"/>
      </rPr>
      <t>2,ist</t>
    </r>
    <r>
      <rPr>
        <sz val="11"/>
        <color theme="1"/>
        <rFont val="Calibri"/>
        <family val="2"/>
        <scheme val="minor"/>
      </rPr>
      <t>=</t>
    </r>
  </si>
  <si>
    <r>
      <t>u</t>
    </r>
    <r>
      <rPr>
        <vertAlign val="subscript"/>
        <sz val="11"/>
        <color theme="1"/>
        <rFont val="Calibri"/>
        <family val="2"/>
        <scheme val="minor"/>
      </rPr>
      <t>net,fin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</si>
  <si>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t</t>
    </r>
    <r>
      <rPr>
        <vertAlign val="subscript"/>
        <sz val="11"/>
        <color theme="1"/>
        <rFont val="Calibri"/>
        <family val="2"/>
        <scheme val="minor"/>
      </rPr>
      <t>d,2</t>
    </r>
    <r>
      <rPr>
        <sz val="11"/>
        <color theme="1"/>
        <rFont val="Calibri"/>
        <family val="2"/>
        <scheme val="minor"/>
      </rPr>
      <t>=</t>
    </r>
  </si>
  <si>
    <r>
      <t>f</t>
    </r>
    <r>
      <rPr>
        <vertAlign val="subscript"/>
        <sz val="11"/>
        <color theme="1"/>
        <rFont val="Calibri"/>
        <family val="2"/>
        <scheme val="minor"/>
      </rPr>
      <t>v,d,2</t>
    </r>
    <r>
      <rPr>
        <sz val="11"/>
        <color theme="1"/>
        <rFont val="Calibri"/>
        <family val="2"/>
        <scheme val="minor"/>
      </rPr>
      <t>=</t>
    </r>
  </si>
  <si>
    <r>
      <t>u</t>
    </r>
    <r>
      <rPr>
        <vertAlign val="subscript"/>
        <sz val="11"/>
        <color theme="1"/>
        <rFont val="Calibri"/>
        <family val="2"/>
        <scheme val="minor"/>
      </rPr>
      <t>max,fin</t>
    </r>
    <r>
      <rPr>
        <sz val="11"/>
        <color theme="1"/>
        <rFont val="Calibri"/>
        <family val="2"/>
        <scheme val="minor"/>
      </rPr>
      <t>=</t>
    </r>
  </si>
  <si>
    <t>Trave principale</t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</si>
  <si>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</t>
    </r>
  </si>
  <si>
    <r>
      <t>g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</si>
  <si>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r>
      <t>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</si>
  <si>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t>Verifiche allo SLU</t>
  </si>
  <si>
    <r>
      <t>I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=</t>
    </r>
  </si>
  <si>
    <r>
      <t>J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=</t>
    </r>
  </si>
  <si>
    <r>
      <t>W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=</t>
    </r>
  </si>
  <si>
    <t>Combinazioni di carico</t>
  </si>
  <si>
    <r>
      <t>q</t>
    </r>
    <r>
      <rPr>
        <vertAlign val="subscript"/>
        <sz val="11"/>
        <color theme="1"/>
        <rFont val="Calibri"/>
        <family val="2"/>
        <scheme val="minor"/>
      </rPr>
      <t>Ed,2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</si>
  <si>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Ed,1</t>
    </r>
    <r>
      <rPr>
        <sz val="11"/>
        <color theme="1"/>
        <rFont val="Calibri"/>
        <family val="2"/>
        <scheme val="minor"/>
      </rPr>
      <t>=</t>
    </r>
  </si>
  <si>
    <t>m</t>
  </si>
  <si>
    <t>- Stabilità flesso-torsionale</t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</si>
  <si>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rel,m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</si>
  <si>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m,crit</t>
    </r>
    <r>
      <rPr>
        <sz val="11"/>
        <color theme="1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</si>
  <si>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crit,m</t>
    </r>
    <r>
      <rPr>
        <sz val="11"/>
        <color theme="1"/>
        <rFont val="Calibri"/>
        <family val="2"/>
        <scheme val="minor"/>
      </rPr>
      <t>=</t>
    </r>
  </si>
  <si>
    <r>
      <t>FS</t>
    </r>
    <r>
      <rPr>
        <i/>
        <vertAlign val="sub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>=</t>
    </r>
  </si>
  <si>
    <r>
      <t>FS</t>
    </r>
    <r>
      <rPr>
        <i/>
        <vertAlign val="subscript"/>
        <sz val="10"/>
        <color theme="1"/>
        <rFont val="Calibri"/>
        <family val="2"/>
        <scheme val="minor"/>
      </rPr>
      <t>2</t>
    </r>
    <r>
      <rPr>
        <i/>
        <sz val="10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</si>
  <si>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m,d</t>
    </r>
    <r>
      <rPr>
        <sz val="11"/>
        <color theme="1"/>
        <rFont val="Calibri"/>
        <family val="2"/>
        <scheme val="minor"/>
      </rPr>
      <t>/(k</t>
    </r>
    <r>
      <rPr>
        <vertAlign val="subscript"/>
        <sz val="11"/>
        <color theme="1"/>
        <rFont val="Calibri"/>
        <family val="2"/>
        <scheme val="minor"/>
      </rPr>
      <t>crit,m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m,d</t>
    </r>
    <r>
      <rPr>
        <sz val="11"/>
        <color theme="1"/>
        <rFont val="Calibri"/>
        <family val="2"/>
        <scheme val="minor"/>
      </rPr>
      <t>)=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</si>
  <si>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m,d</t>
    </r>
    <r>
      <rPr>
        <sz val="11"/>
        <color theme="1"/>
        <rFont val="Calibri"/>
        <family val="2"/>
        <scheme val="minor"/>
      </rPr>
      <t>/f</t>
    </r>
    <r>
      <rPr>
        <vertAlign val="subscript"/>
        <sz val="11"/>
        <color theme="1"/>
        <rFont val="Calibri"/>
        <family val="2"/>
        <scheme val="minor"/>
      </rPr>
      <t>m,d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</si>
  <si>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t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/f</t>
    </r>
    <r>
      <rPr>
        <vertAlign val="subscript"/>
        <sz val="11"/>
        <color theme="1"/>
        <rFont val="Calibri"/>
        <family val="2"/>
        <scheme val="minor"/>
      </rPr>
      <t>v,d</t>
    </r>
    <r>
      <rPr>
        <sz val="11"/>
        <color theme="1"/>
        <rFont val="Calibri"/>
        <family val="2"/>
        <scheme val="minor"/>
      </rPr>
      <t>=</t>
    </r>
  </si>
  <si>
    <r>
      <t>I</t>
    </r>
    <r>
      <rPr>
        <vertAlign val="subscript"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</si>
</sst>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bscript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1" fontId="0" fillId="0" borderId="0" xfId="0" applyNumberForma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16" sqref="B16"/>
    </sheetView>
  </sheetViews>
  <sheetFormatPr defaultRowHeight="15" x14ac:dyDescent="0.25"/>
  <cols>
    <col min="2" max="2" width="11" bestFit="1" customWidth="1"/>
  </cols>
  <sheetData>
    <row r="1" spans="1:11" x14ac:dyDescent="0.25">
      <c r="A1" s="4" t="s">
        <v>6</v>
      </c>
    </row>
    <row r="2" spans="1:11" x14ac:dyDescent="0.25">
      <c r="A2" s="1" t="s">
        <v>5</v>
      </c>
      <c r="B2" s="2">
        <v>5000</v>
      </c>
      <c r="C2" t="s">
        <v>2</v>
      </c>
    </row>
    <row r="3" spans="1:11" x14ac:dyDescent="0.25">
      <c r="A3" s="1" t="s">
        <v>7</v>
      </c>
      <c r="B3" s="2">
        <v>1000</v>
      </c>
      <c r="C3" t="s">
        <v>2</v>
      </c>
    </row>
    <row r="4" spans="1:11" x14ac:dyDescent="0.25">
      <c r="A4" s="1"/>
      <c r="B4" s="3"/>
    </row>
    <row r="5" spans="1:11" x14ac:dyDescent="0.25">
      <c r="A5" s="1" t="s">
        <v>0</v>
      </c>
      <c r="B5" s="2">
        <v>120</v>
      </c>
      <c r="C5" t="s">
        <v>2</v>
      </c>
    </row>
    <row r="6" spans="1:11" ht="18" x14ac:dyDescent="0.35">
      <c r="A6" s="1" t="s">
        <v>1</v>
      </c>
      <c r="B6" s="2">
        <v>196</v>
      </c>
      <c r="C6" t="s">
        <v>2</v>
      </c>
      <c r="D6" s="1" t="s">
        <v>15</v>
      </c>
      <c r="E6" s="5">
        <f>MIN((600/IF(B6&gt;B5,B6,B5))^0.2,1.3)</f>
        <v>1.2507745497254716</v>
      </c>
      <c r="F6" t="s">
        <v>2</v>
      </c>
    </row>
    <row r="8" spans="1:11" x14ac:dyDescent="0.25">
      <c r="A8" s="4" t="s">
        <v>8</v>
      </c>
    </row>
    <row r="9" spans="1:11" ht="18" x14ac:dyDescent="0.35">
      <c r="A9" s="1" t="s">
        <v>38</v>
      </c>
      <c r="B9" s="3">
        <f>H16*B5*B6/1000000/100</f>
        <v>9.0552000000000007E-2</v>
      </c>
      <c r="C9" t="s">
        <v>36</v>
      </c>
    </row>
    <row r="10" spans="1:11" ht="18.75" x14ac:dyDescent="0.35">
      <c r="A10" s="1" t="s">
        <v>37</v>
      </c>
      <c r="B10" s="3">
        <v>2</v>
      </c>
      <c r="C10" t="s">
        <v>10</v>
      </c>
    </row>
    <row r="11" spans="1:11" ht="18.75" x14ac:dyDescent="0.35">
      <c r="A11" s="1" t="s">
        <v>9</v>
      </c>
      <c r="B11" s="3">
        <v>0.6</v>
      </c>
      <c r="C11" t="s">
        <v>10</v>
      </c>
    </row>
    <row r="13" spans="1:11" x14ac:dyDescent="0.25">
      <c r="A13" s="4" t="s">
        <v>11</v>
      </c>
      <c r="B13" s="3"/>
    </row>
    <row r="14" spans="1:11" ht="18.75" x14ac:dyDescent="0.35">
      <c r="A14" s="1" t="s">
        <v>17</v>
      </c>
      <c r="B14" s="2">
        <v>13</v>
      </c>
      <c r="C14" t="s">
        <v>16</v>
      </c>
      <c r="D14" s="1" t="s">
        <v>18</v>
      </c>
      <c r="E14" s="2">
        <v>11000</v>
      </c>
      <c r="F14" t="s">
        <v>16</v>
      </c>
      <c r="G14" s="1" t="s">
        <v>30</v>
      </c>
      <c r="H14" s="2">
        <v>350</v>
      </c>
      <c r="I14" t="s">
        <v>13</v>
      </c>
    </row>
    <row r="15" spans="1:11" x14ac:dyDescent="0.25">
      <c r="J15" s="1"/>
      <c r="K15" s="3"/>
    </row>
    <row r="16" spans="1:11" ht="18.75" x14ac:dyDescent="0.35">
      <c r="A16" s="1" t="s">
        <v>19</v>
      </c>
      <c r="B16" s="3">
        <f>(7+1.15*B14)*E6</f>
        <v>27.454501366474101</v>
      </c>
      <c r="C16" t="s">
        <v>16</v>
      </c>
      <c r="D16" s="1" t="s">
        <v>26</v>
      </c>
      <c r="E16" s="2">
        <f>1.05*E14</f>
        <v>11550</v>
      </c>
      <c r="F16" t="s">
        <v>16</v>
      </c>
      <c r="G16" s="1" t="s">
        <v>12</v>
      </c>
      <c r="H16" s="2">
        <f>1.1*H14</f>
        <v>385.00000000000006</v>
      </c>
      <c r="I16" t="s">
        <v>13</v>
      </c>
      <c r="J16" s="1"/>
      <c r="K16" s="3"/>
    </row>
    <row r="17" spans="1:11" ht="18" x14ac:dyDescent="0.35">
      <c r="A17" s="1" t="s">
        <v>20</v>
      </c>
      <c r="B17" s="3">
        <f>B16</f>
        <v>27.454501366474101</v>
      </c>
      <c r="C17" t="s">
        <v>16</v>
      </c>
      <c r="D17" s="1" t="s">
        <v>27</v>
      </c>
      <c r="E17" s="2">
        <f>0.85*E14</f>
        <v>9350</v>
      </c>
      <c r="F17" t="s">
        <v>16</v>
      </c>
      <c r="J17" s="1"/>
      <c r="K17" s="3"/>
    </row>
    <row r="18" spans="1:11" ht="18" x14ac:dyDescent="0.35">
      <c r="A18" s="1" t="s">
        <v>21</v>
      </c>
      <c r="B18" s="3">
        <f>(5+0.8*B14)*E6</f>
        <v>19.261928065772263</v>
      </c>
      <c r="C18" t="s">
        <v>16</v>
      </c>
      <c r="D18" s="1" t="s">
        <v>28</v>
      </c>
      <c r="E18" s="2">
        <f>0.035*E14</f>
        <v>385.00000000000006</v>
      </c>
      <c r="F18" t="s">
        <v>16</v>
      </c>
    </row>
    <row r="19" spans="1:11" ht="18" x14ac:dyDescent="0.35">
      <c r="A19" s="1" t="s">
        <v>22</v>
      </c>
      <c r="B19" s="3">
        <f>(0.2+0.015*B14)</f>
        <v>0.39500000000000002</v>
      </c>
      <c r="C19" t="s">
        <v>16</v>
      </c>
      <c r="D19" s="1" t="s">
        <v>29</v>
      </c>
      <c r="E19" s="2">
        <f>0.065*E14</f>
        <v>715</v>
      </c>
      <c r="F19" t="s">
        <v>16</v>
      </c>
    </row>
    <row r="20" spans="1:11" ht="18" x14ac:dyDescent="0.35">
      <c r="A20" s="1" t="s">
        <v>23</v>
      </c>
      <c r="B20" s="3">
        <f>7.2*B14^0.45</f>
        <v>22.835314902364232</v>
      </c>
      <c r="C20" t="s">
        <v>16</v>
      </c>
    </row>
    <row r="21" spans="1:11" ht="18" x14ac:dyDescent="0.35">
      <c r="A21" s="1" t="s">
        <v>24</v>
      </c>
      <c r="B21" s="3">
        <f>0.7*B14^0.5</f>
        <v>2.5238858928247923</v>
      </c>
      <c r="C21" t="s">
        <v>16</v>
      </c>
    </row>
    <row r="22" spans="1:11" ht="18" x14ac:dyDescent="0.35">
      <c r="A22" s="1" t="s">
        <v>25</v>
      </c>
      <c r="B22" s="3">
        <f>0.32*B14^0.8</f>
        <v>2.4906038790526308</v>
      </c>
      <c r="C2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24" sqref="A24:F29"/>
    </sheetView>
  </sheetViews>
  <sheetFormatPr defaultRowHeight="15" x14ac:dyDescent="0.25"/>
  <cols>
    <col min="2" max="2" width="11.5703125" bestFit="1" customWidth="1"/>
  </cols>
  <sheetData>
    <row r="1" spans="1:6" ht="15.75" x14ac:dyDescent="0.25">
      <c r="A1" s="7" t="s">
        <v>32</v>
      </c>
    </row>
    <row r="2" spans="1:6" ht="18" x14ac:dyDescent="0.35">
      <c r="A2" s="1" t="s">
        <v>33</v>
      </c>
      <c r="B2" s="2">
        <v>1.3</v>
      </c>
      <c r="D2" s="1" t="s">
        <v>49</v>
      </c>
      <c r="E2" s="2">
        <v>1.45</v>
      </c>
    </row>
    <row r="3" spans="1:6" ht="18" x14ac:dyDescent="0.35">
      <c r="A3" s="1" t="s">
        <v>34</v>
      </c>
      <c r="B3" s="2">
        <v>1.5</v>
      </c>
      <c r="D3" s="1"/>
      <c r="E3" s="2"/>
    </row>
    <row r="6" spans="1:6" ht="15.75" x14ac:dyDescent="0.25">
      <c r="A6" s="7" t="s">
        <v>31</v>
      </c>
      <c r="D6" s="7" t="s">
        <v>42</v>
      </c>
    </row>
    <row r="8" spans="1:6" ht="18" x14ac:dyDescent="0.35">
      <c r="A8" s="1" t="s">
        <v>86</v>
      </c>
      <c r="B8" s="3">
        <f>(Dati!B9+Dati!B10*Dati!B3/1000)*SLU!B2+Dati!B11*Dati!B3/1000*SLU!B3</f>
        <v>3.6177176000000002</v>
      </c>
      <c r="C8" t="s">
        <v>36</v>
      </c>
      <c r="D8" s="1" t="s">
        <v>85</v>
      </c>
      <c r="E8" s="3">
        <f>(Dati!B9+Dati!B10*Dati!B3/1000)*SLU!B2</f>
        <v>2.7177176000000003</v>
      </c>
      <c r="F8" t="s">
        <v>36</v>
      </c>
    </row>
    <row r="10" spans="1:6" ht="18" x14ac:dyDescent="0.35">
      <c r="A10" s="1" t="s">
        <v>39</v>
      </c>
      <c r="B10" s="3">
        <f>B8*(Dati!B2/1000)^2/8</f>
        <v>11.305367500000001</v>
      </c>
      <c r="C10" t="s">
        <v>35</v>
      </c>
      <c r="D10" s="1" t="s">
        <v>43</v>
      </c>
      <c r="E10" s="3">
        <f>E8*(Dati!B2/1000)^2/8</f>
        <v>8.4928675000000009</v>
      </c>
      <c r="F10" t="s">
        <v>35</v>
      </c>
    </row>
    <row r="11" spans="1:6" ht="18" x14ac:dyDescent="0.35">
      <c r="A11" s="1" t="s">
        <v>40</v>
      </c>
      <c r="B11" s="3">
        <f>B8*(Dati!B2/1000)/2</f>
        <v>9.0442940000000007</v>
      </c>
      <c r="C11" t="s">
        <v>41</v>
      </c>
      <c r="D11" s="1" t="s">
        <v>44</v>
      </c>
      <c r="E11" s="3">
        <f>E8*(Dati!B2/1000)/2</f>
        <v>6.7942940000000007</v>
      </c>
      <c r="F11" t="s">
        <v>41</v>
      </c>
    </row>
    <row r="13" spans="1:6" ht="18" x14ac:dyDescent="0.35">
      <c r="A13" s="1" t="s">
        <v>45</v>
      </c>
      <c r="B13" s="3">
        <v>0.9</v>
      </c>
      <c r="D13" s="1" t="s">
        <v>46</v>
      </c>
      <c r="E13" s="3">
        <v>0.6</v>
      </c>
    </row>
    <row r="14" spans="1:6" x14ac:dyDescent="0.25">
      <c r="A14" s="1"/>
      <c r="B14" s="3"/>
      <c r="D14" s="1"/>
      <c r="E14" s="3"/>
    </row>
    <row r="15" spans="1:6" x14ac:dyDescent="0.25">
      <c r="A15" s="6" t="s">
        <v>58</v>
      </c>
      <c r="B15" s="3"/>
      <c r="D15" s="1"/>
      <c r="E15" s="3"/>
    </row>
    <row r="17" spans="1:6" ht="17.25" x14ac:dyDescent="0.25">
      <c r="A17" s="1" t="s">
        <v>47</v>
      </c>
      <c r="B17" s="2">
        <f>Dati!B5*Dati!B6^2/6</f>
        <v>768320</v>
      </c>
      <c r="C17" t="s">
        <v>48</v>
      </c>
    </row>
    <row r="19" spans="1:6" ht="18" x14ac:dyDescent="0.35">
      <c r="A19" s="1" t="s">
        <v>50</v>
      </c>
      <c r="B19" s="3">
        <f>B10*1000000/B17</f>
        <v>14.714399599125365</v>
      </c>
      <c r="C19" t="s">
        <v>16</v>
      </c>
      <c r="D19" s="1" t="s">
        <v>52</v>
      </c>
      <c r="E19" s="3">
        <f>E10*1000000/B17</f>
        <v>11.053815467513536</v>
      </c>
      <c r="F19" t="s">
        <v>16</v>
      </c>
    </row>
    <row r="20" spans="1:6" ht="18" x14ac:dyDescent="0.35">
      <c r="A20" s="1" t="s">
        <v>51</v>
      </c>
      <c r="B20" s="3">
        <f>B13*Dati!B16/E2</f>
        <v>17.040724986087373</v>
      </c>
      <c r="C20" t="s">
        <v>16</v>
      </c>
      <c r="D20" s="1" t="s">
        <v>53</v>
      </c>
      <c r="E20" s="3">
        <f>E13*Dati!B16/E2</f>
        <v>11.360483324058247</v>
      </c>
      <c r="F20" t="s">
        <v>16</v>
      </c>
    </row>
    <row r="22" spans="1:6" ht="18" x14ac:dyDescent="0.35">
      <c r="A22" s="1" t="s">
        <v>54</v>
      </c>
      <c r="B22" s="5">
        <f>B20/B19</f>
        <v>1.1580985599371847</v>
      </c>
      <c r="D22" s="1" t="s">
        <v>55</v>
      </c>
      <c r="E22" s="5">
        <f>E20/E19</f>
        <v>1.0277431677275588</v>
      </c>
    </row>
    <row r="23" spans="1:6" x14ac:dyDescent="0.25">
      <c r="A23" s="1"/>
      <c r="B23" s="5"/>
      <c r="D23" s="1"/>
      <c r="E23" s="5"/>
    </row>
    <row r="24" spans="1:6" x14ac:dyDescent="0.25">
      <c r="A24" s="6" t="s">
        <v>59</v>
      </c>
      <c r="B24" s="5"/>
      <c r="D24" s="1"/>
      <c r="E24" s="5"/>
    </row>
    <row r="26" spans="1:6" ht="18" x14ac:dyDescent="0.35">
      <c r="A26" s="1" t="s">
        <v>56</v>
      </c>
      <c r="B26" s="3">
        <f>1.5*B11*1000/(Dati!B6*Dati!B5)</f>
        <v>0.5768044642857143</v>
      </c>
      <c r="C26" t="s">
        <v>16</v>
      </c>
      <c r="D26" s="1" t="s">
        <v>73</v>
      </c>
      <c r="E26" s="3">
        <f>1.5*E11*1000/(Dati!B6*Dati!B5)</f>
        <v>0.43330956632653062</v>
      </c>
      <c r="F26" t="s">
        <v>16</v>
      </c>
    </row>
    <row r="27" spans="1:6" ht="18" x14ac:dyDescent="0.35">
      <c r="A27" s="1" t="s">
        <v>57</v>
      </c>
      <c r="B27" s="3">
        <f>Dati!B22*SLU!B13/SLU!E2</f>
        <v>1.5458920628602537</v>
      </c>
      <c r="C27" t="s">
        <v>16</v>
      </c>
      <c r="D27" s="1" t="s">
        <v>74</v>
      </c>
      <c r="E27" s="3">
        <f>Dati!B22*SLU!E13/SLU!E2</f>
        <v>1.0305947085735023</v>
      </c>
      <c r="F27" t="s">
        <v>16</v>
      </c>
    </row>
    <row r="29" spans="1:6" ht="18" x14ac:dyDescent="0.35">
      <c r="A29" s="1" t="s">
        <v>54</v>
      </c>
      <c r="B29" s="5">
        <f>B27/B26</f>
        <v>2.6800972575248854</v>
      </c>
      <c r="D29" s="1" t="s">
        <v>55</v>
      </c>
      <c r="E29" s="5">
        <f>E27/E26</f>
        <v>2.3784259307048705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30" zoomScaleNormal="130" workbookViewId="0">
      <selection activeCell="E19" sqref="E19"/>
    </sheetView>
  </sheetViews>
  <sheetFormatPr defaultRowHeight="15" x14ac:dyDescent="0.25"/>
  <cols>
    <col min="5" max="5" width="12" bestFit="1" customWidth="1"/>
  </cols>
  <sheetData>
    <row r="1" spans="1:8" ht="15.75" x14ac:dyDescent="0.25">
      <c r="A1" s="7" t="s">
        <v>32</v>
      </c>
    </row>
    <row r="2" spans="1:8" ht="18.75" x14ac:dyDescent="0.35">
      <c r="A2" s="1" t="s">
        <v>60</v>
      </c>
      <c r="B2" s="3">
        <f>(Dati!B9+Dati!B10*Dati!B3/1000)</f>
        <v>2.0905520000000002</v>
      </c>
      <c r="C2" t="s">
        <v>36</v>
      </c>
      <c r="D2" s="1" t="s">
        <v>3</v>
      </c>
      <c r="E2" s="2">
        <f>Dati!B5*Dati!B6^3/12</f>
        <v>75295360</v>
      </c>
      <c r="F2" t="s">
        <v>4</v>
      </c>
      <c r="G2" s="1" t="s">
        <v>14</v>
      </c>
      <c r="H2" s="2">
        <v>0.6</v>
      </c>
    </row>
    <row r="3" spans="1:8" ht="18.75" x14ac:dyDescent="0.35">
      <c r="A3" s="1" t="s">
        <v>61</v>
      </c>
      <c r="B3" s="3">
        <f>Dati!B11</f>
        <v>0.6</v>
      </c>
      <c r="C3" t="s">
        <v>36</v>
      </c>
      <c r="D3" s="1" t="s">
        <v>62</v>
      </c>
      <c r="E3" s="2">
        <f>Dati!B5*Dati!B6</f>
        <v>23520</v>
      </c>
      <c r="F3" t="s">
        <v>63</v>
      </c>
      <c r="G3" s="1" t="s">
        <v>68</v>
      </c>
      <c r="H3" s="2">
        <v>0.3</v>
      </c>
    </row>
    <row r="5" spans="1:8" x14ac:dyDescent="0.25">
      <c r="A5" s="8" t="s">
        <v>65</v>
      </c>
    </row>
    <row r="6" spans="1:8" ht="15.75" x14ac:dyDescent="0.25">
      <c r="D6" s="7"/>
    </row>
    <row r="7" spans="1:8" ht="18" x14ac:dyDescent="0.35">
      <c r="A7" s="1" t="s">
        <v>64</v>
      </c>
      <c r="B7" s="3">
        <f>5/384*B2*Dati!B2^4/Dati!E16/SLE!E2+1.2*SLE!B2*Dati!B2^2/8/Dati!E19/SLE!E3</f>
        <v>20.028909970969959</v>
      </c>
      <c r="C7" t="s">
        <v>2</v>
      </c>
      <c r="D7" s="1" t="s">
        <v>69</v>
      </c>
      <c r="E7" s="3">
        <f>B7*H2</f>
        <v>12.017345982581976</v>
      </c>
      <c r="F7" t="s">
        <v>2</v>
      </c>
    </row>
    <row r="10" spans="1:8" x14ac:dyDescent="0.25">
      <c r="A10" s="8" t="s">
        <v>66</v>
      </c>
    </row>
    <row r="12" spans="1:8" ht="18" x14ac:dyDescent="0.35">
      <c r="A12" s="1" t="s">
        <v>67</v>
      </c>
      <c r="B12" s="3">
        <f>5/384*B3*Dati!B2^4/Dati!E16/SLE!E2+1.2*SLE!B3*Dati!B2^2/8/Dati!E19/SLE!E3</f>
        <v>5.7484080676213631</v>
      </c>
      <c r="C12" t="s">
        <v>2</v>
      </c>
      <c r="D12" s="1" t="s">
        <v>70</v>
      </c>
      <c r="E12" s="3">
        <f>B12*H2*H3</f>
        <v>1.0347134521718453</v>
      </c>
      <c r="F12" t="s">
        <v>2</v>
      </c>
    </row>
    <row r="15" spans="1:8" ht="18" x14ac:dyDescent="0.35">
      <c r="A15" s="1" t="s">
        <v>71</v>
      </c>
      <c r="B15" s="3">
        <f>B12</f>
        <v>5.7484080676213631</v>
      </c>
      <c r="C15" t="s">
        <v>2</v>
      </c>
      <c r="D15" s="2" t="str">
        <f>IF(B15&lt;E15,"&lt;","&gt;")</f>
        <v>&lt;</v>
      </c>
      <c r="E15" s="3">
        <f>Dati!B2/300</f>
        <v>16.666666666666668</v>
      </c>
      <c r="F15" t="s">
        <v>2</v>
      </c>
    </row>
    <row r="16" spans="1:8" x14ac:dyDescent="0.25">
      <c r="D16" s="2"/>
    </row>
    <row r="17" spans="1:6" ht="18" x14ac:dyDescent="0.35">
      <c r="A17" s="1" t="s">
        <v>75</v>
      </c>
      <c r="B17" s="3">
        <f>B7+B12+E7+E12</f>
        <v>38.82937747334514</v>
      </c>
      <c r="C17" t="s">
        <v>2</v>
      </c>
      <c r="D17" s="2" t="str">
        <f>IF(B17&lt;E17,"&lt;","&gt;")</f>
        <v>&gt;</v>
      </c>
      <c r="E17" s="3">
        <f>Dati!B2/200</f>
        <v>25</v>
      </c>
      <c r="F17" t="s">
        <v>2</v>
      </c>
    </row>
    <row r="18" spans="1:6" x14ac:dyDescent="0.25">
      <c r="D18" s="2"/>
    </row>
    <row r="19" spans="1:6" ht="18" x14ac:dyDescent="0.35">
      <c r="A19" s="1" t="s">
        <v>72</v>
      </c>
      <c r="B19" s="3">
        <f>B17-B7</f>
        <v>18.800467502375181</v>
      </c>
      <c r="C19" t="s">
        <v>2</v>
      </c>
      <c r="D19" s="2" t="str">
        <f>IF(B19&lt;E19,"&lt;","&gt;")</f>
        <v>&lt;</v>
      </c>
      <c r="E19" s="3">
        <f>Dati!B2/250</f>
        <v>20</v>
      </c>
      <c r="F19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10" zoomScale="115" zoomScaleNormal="115" workbookViewId="0">
      <selection activeCell="E35" sqref="E35"/>
    </sheetView>
  </sheetViews>
  <sheetFormatPr defaultRowHeight="15" x14ac:dyDescent="0.25"/>
  <cols>
    <col min="1" max="1" width="14.5703125" customWidth="1"/>
    <col min="3" max="3" width="9.140625" customWidth="1"/>
    <col min="4" max="4" width="14.5703125" customWidth="1"/>
    <col min="5" max="5" width="9.140625" customWidth="1"/>
    <col min="6" max="6" width="9.28515625" customWidth="1"/>
  </cols>
  <sheetData>
    <row r="1" spans="1:12" ht="18.75" x14ac:dyDescent="0.3">
      <c r="A1" s="15" t="s">
        <v>76</v>
      </c>
    </row>
    <row r="3" spans="1:12" ht="18.75" x14ac:dyDescent="0.35">
      <c r="A3" s="1" t="s">
        <v>0</v>
      </c>
      <c r="B3">
        <v>180</v>
      </c>
      <c r="C3" t="s">
        <v>2</v>
      </c>
      <c r="D3" s="1" t="s">
        <v>81</v>
      </c>
      <c r="E3" s="11">
        <f>B3*B4^3/12</f>
        <v>87480000000</v>
      </c>
      <c r="F3" t="s">
        <v>4</v>
      </c>
      <c r="G3" s="1" t="s">
        <v>19</v>
      </c>
      <c r="H3" s="3">
        <f>Dati!B16/Dati!E6</f>
        <v>21.95</v>
      </c>
      <c r="I3" t="s">
        <v>16</v>
      </c>
      <c r="J3" s="1" t="s">
        <v>78</v>
      </c>
      <c r="K3" s="3">
        <f>Dati!B9*Dati!B2/Dati!B3+B3*B4/1000000*Dati!H16/100</f>
        <v>1.7001600000000003</v>
      </c>
      <c r="L3" t="s">
        <v>36</v>
      </c>
    </row>
    <row r="4" spans="1:12" ht="18.75" x14ac:dyDescent="0.35">
      <c r="A4" s="1" t="s">
        <v>1</v>
      </c>
      <c r="B4">
        <v>1800</v>
      </c>
      <c r="C4" t="s">
        <v>2</v>
      </c>
      <c r="D4" s="1" t="s">
        <v>97</v>
      </c>
      <c r="E4">
        <f>B3^3*B4/12</f>
        <v>874800000</v>
      </c>
      <c r="F4" t="s">
        <v>4</v>
      </c>
      <c r="G4" s="1" t="s">
        <v>25</v>
      </c>
      <c r="H4" s="3">
        <f>Dati!B22</f>
        <v>2.4906038790526308</v>
      </c>
      <c r="I4" t="s">
        <v>16</v>
      </c>
      <c r="J4" s="1" t="s">
        <v>79</v>
      </c>
      <c r="K4" s="3">
        <f>Dati!B10*Dati!B2/1000</f>
        <v>10</v>
      </c>
      <c r="L4" t="s">
        <v>36</v>
      </c>
    </row>
    <row r="5" spans="1:12" ht="18.75" x14ac:dyDescent="0.35">
      <c r="A5" s="1" t="s">
        <v>5</v>
      </c>
      <c r="B5">
        <v>20</v>
      </c>
      <c r="C5" t="s">
        <v>87</v>
      </c>
      <c r="D5" s="1" t="s">
        <v>82</v>
      </c>
      <c r="E5">
        <f>B3^3*B4/3</f>
        <v>3499200000</v>
      </c>
      <c r="F5" t="s">
        <v>4</v>
      </c>
      <c r="G5" s="1" t="s">
        <v>26</v>
      </c>
      <c r="H5" s="2">
        <f>Dati!E16</f>
        <v>11550</v>
      </c>
      <c r="I5" t="s">
        <v>16</v>
      </c>
      <c r="J5" s="1" t="s">
        <v>61</v>
      </c>
      <c r="K5" s="3">
        <f>Dati!B11*Dati!B2/1000</f>
        <v>3</v>
      </c>
      <c r="L5" t="s">
        <v>36</v>
      </c>
    </row>
    <row r="6" spans="1:12" ht="18.75" x14ac:dyDescent="0.35">
      <c r="D6" s="1" t="s">
        <v>83</v>
      </c>
      <c r="E6" s="11">
        <f>B3*B4^2/6</f>
        <v>97200000</v>
      </c>
      <c r="F6" t="s">
        <v>48</v>
      </c>
      <c r="G6" s="1" t="s">
        <v>27</v>
      </c>
      <c r="H6" s="2">
        <f>Dati!E17</f>
        <v>9350</v>
      </c>
      <c r="I6" t="s">
        <v>16</v>
      </c>
    </row>
    <row r="7" spans="1:12" ht="18" x14ac:dyDescent="0.35">
      <c r="G7" s="1" t="s">
        <v>29</v>
      </c>
      <c r="H7" s="2">
        <f>Dati!E19</f>
        <v>715</v>
      </c>
      <c r="I7" t="s">
        <v>16</v>
      </c>
    </row>
    <row r="8" spans="1:12" ht="15.75" x14ac:dyDescent="0.25">
      <c r="A8" s="10" t="s">
        <v>80</v>
      </c>
    </row>
    <row r="10" spans="1:12" x14ac:dyDescent="0.25">
      <c r="A10" s="9" t="s">
        <v>84</v>
      </c>
    </row>
    <row r="12" spans="1:12" x14ac:dyDescent="0.25">
      <c r="A12" s="8" t="s">
        <v>31</v>
      </c>
      <c r="D12" s="8" t="s">
        <v>42</v>
      </c>
    </row>
    <row r="14" spans="1:12" ht="18" x14ac:dyDescent="0.35">
      <c r="A14" s="1" t="s">
        <v>86</v>
      </c>
      <c r="B14" s="3">
        <f>SLU!B2*(TravePrincipale!K3+TravePrincipale!K4)+SLU!B3*TravePrincipale!K5</f>
        <v>19.710208000000002</v>
      </c>
      <c r="C14" t="s">
        <v>36</v>
      </c>
      <c r="D14" s="1" t="s">
        <v>85</v>
      </c>
      <c r="E14" s="3">
        <f>SLU!B2*(TravePrincipale!K3+TravePrincipale!K4)</f>
        <v>15.210208000000002</v>
      </c>
      <c r="F14" t="s">
        <v>36</v>
      </c>
    </row>
    <row r="16" spans="1:12" ht="18" x14ac:dyDescent="0.35">
      <c r="A16" s="1" t="s">
        <v>39</v>
      </c>
      <c r="B16" s="3">
        <f>B14*B5^2/8</f>
        <v>985.51040000000012</v>
      </c>
      <c r="C16" t="s">
        <v>35</v>
      </c>
      <c r="D16" s="1" t="s">
        <v>43</v>
      </c>
      <c r="E16" s="3">
        <f>E14*B5^2/8</f>
        <v>760.51040000000012</v>
      </c>
      <c r="F16" t="s">
        <v>35</v>
      </c>
    </row>
    <row r="17" spans="1:6" ht="18" x14ac:dyDescent="0.35">
      <c r="A17" s="1" t="s">
        <v>40</v>
      </c>
      <c r="B17" s="3">
        <f>B14*B5/2</f>
        <v>197.10208</v>
      </c>
      <c r="C17" t="s">
        <v>41</v>
      </c>
      <c r="D17" s="1" t="s">
        <v>44</v>
      </c>
      <c r="E17" s="3">
        <f>E14*B5/2</f>
        <v>152.10208</v>
      </c>
      <c r="F17" t="s">
        <v>41</v>
      </c>
    </row>
    <row r="19" spans="1:6" ht="18" x14ac:dyDescent="0.35">
      <c r="A19" s="1" t="s">
        <v>45</v>
      </c>
      <c r="B19" s="3">
        <v>0.9</v>
      </c>
      <c r="D19" s="1" t="s">
        <v>46</v>
      </c>
      <c r="E19" s="3">
        <v>0.6</v>
      </c>
    </row>
    <row r="21" spans="1:6" x14ac:dyDescent="0.25">
      <c r="A21" s="6" t="s">
        <v>58</v>
      </c>
      <c r="B21" s="3"/>
      <c r="D21" s="3"/>
    </row>
    <row r="23" spans="1:6" ht="18" x14ac:dyDescent="0.35">
      <c r="A23" s="1" t="s">
        <v>50</v>
      </c>
      <c r="B23" s="3">
        <f>B16*1000000/E6</f>
        <v>10.138995884773664</v>
      </c>
      <c r="C23" t="s">
        <v>16</v>
      </c>
      <c r="D23" s="1" t="s">
        <v>52</v>
      </c>
      <c r="E23" s="3">
        <f>E16*1000000/E6</f>
        <v>7.8241810699588488</v>
      </c>
      <c r="F23" t="s">
        <v>16</v>
      </c>
    </row>
    <row r="24" spans="1:6" ht="18" x14ac:dyDescent="0.35">
      <c r="A24" s="1" t="s">
        <v>51</v>
      </c>
      <c r="B24" s="3">
        <f>B19*H3/SLU!E2</f>
        <v>13.624137931034483</v>
      </c>
      <c r="C24" t="s">
        <v>16</v>
      </c>
      <c r="D24" s="1" t="s">
        <v>53</v>
      </c>
      <c r="E24" s="3">
        <f>E19*H3/SLU!E2</f>
        <v>9.0827586206896562</v>
      </c>
      <c r="F24" t="s">
        <v>16</v>
      </c>
    </row>
    <row r="25" spans="1:6" x14ac:dyDescent="0.25">
      <c r="A25" s="1"/>
      <c r="B25" s="3"/>
      <c r="D25" s="1"/>
      <c r="E25" s="3"/>
    </row>
    <row r="26" spans="1:6" ht="18" x14ac:dyDescent="0.35">
      <c r="A26" s="1" t="s">
        <v>95</v>
      </c>
      <c r="B26" s="5">
        <f>B23/B24</f>
        <v>0.74419357291429067</v>
      </c>
      <c r="D26" s="1" t="s">
        <v>95</v>
      </c>
      <c r="E26" s="5">
        <f>E23/E24</f>
        <v>0.86143223625211307</v>
      </c>
    </row>
    <row r="27" spans="1:6" x14ac:dyDescent="0.25">
      <c r="A27" s="12" t="s">
        <v>92</v>
      </c>
      <c r="B27" s="13">
        <f>B24/B23</f>
        <v>1.3437364099826359</v>
      </c>
      <c r="C27" s="14"/>
      <c r="D27" s="12" t="s">
        <v>93</v>
      </c>
      <c r="E27" s="13">
        <f>E24/E23</f>
        <v>1.1608574161918555</v>
      </c>
    </row>
    <row r="29" spans="1:6" x14ac:dyDescent="0.25">
      <c r="A29" s="6" t="s">
        <v>88</v>
      </c>
      <c r="B29" s="5"/>
      <c r="D29" s="1"/>
      <c r="E29" s="5"/>
    </row>
    <row r="31" spans="1:6" ht="18" x14ac:dyDescent="0.35">
      <c r="A31" s="1" t="s">
        <v>50</v>
      </c>
      <c r="B31" s="3">
        <f>B23</f>
        <v>10.138995884773664</v>
      </c>
      <c r="C31" t="s">
        <v>16</v>
      </c>
      <c r="D31" s="1" t="s">
        <v>52</v>
      </c>
      <c r="E31" s="3">
        <f>E23</f>
        <v>7.8241810699588488</v>
      </c>
      <c r="F31" t="s">
        <v>16</v>
      </c>
    </row>
    <row r="32" spans="1:6" ht="18" x14ac:dyDescent="0.35">
      <c r="A32" s="1" t="s">
        <v>51</v>
      </c>
      <c r="B32" s="3">
        <f>B24</f>
        <v>13.624137931034483</v>
      </c>
      <c r="C32" t="s">
        <v>16</v>
      </c>
      <c r="D32" s="1" t="s">
        <v>53</v>
      </c>
      <c r="E32" s="3">
        <f>E24</f>
        <v>9.0827586206896562</v>
      </c>
      <c r="F32" t="s">
        <v>16</v>
      </c>
    </row>
    <row r="34" spans="1:6" ht="18" x14ac:dyDescent="0.35">
      <c r="A34" s="1" t="s">
        <v>77</v>
      </c>
      <c r="B34" s="3">
        <v>5</v>
      </c>
      <c r="C34" t="s">
        <v>87</v>
      </c>
      <c r="D34" s="1" t="s">
        <v>89</v>
      </c>
      <c r="E34" s="5">
        <f>SQRT(H3/B35)</f>
        <v>0.86638647183026252</v>
      </c>
    </row>
    <row r="35" spans="1:6" ht="18" x14ac:dyDescent="0.35">
      <c r="A35" s="1" t="s">
        <v>90</v>
      </c>
      <c r="B35" s="3">
        <f>PI()/(B34*1000)*B3^2/B4*SQRT(H6*H7)</f>
        <v>29.242277882854452</v>
      </c>
      <c r="C35" t="s">
        <v>16</v>
      </c>
      <c r="D35" s="1" t="s">
        <v>91</v>
      </c>
      <c r="E35" s="5">
        <f>IF(E34&lt;=0.75,1,IF(E34&lt;=1.4,1.56-0.75*E34,1/E34^2))</f>
        <v>0.91021014612730311</v>
      </c>
    </row>
    <row r="36" spans="1:6" x14ac:dyDescent="0.25">
      <c r="A36" s="1"/>
      <c r="B36" s="3"/>
      <c r="D36" s="1"/>
      <c r="E36" s="5"/>
    </row>
    <row r="37" spans="1:6" ht="18" x14ac:dyDescent="0.35">
      <c r="A37" s="1" t="s">
        <v>94</v>
      </c>
      <c r="B37" s="5">
        <f>B31/($E$35*B32)</f>
        <v>0.81760632539708789</v>
      </c>
      <c r="D37" s="1" t="s">
        <v>94</v>
      </c>
      <c r="E37" s="5">
        <f>E31/($E$35*E32)</f>
        <v>0.94641027670068645</v>
      </c>
    </row>
    <row r="38" spans="1:6" x14ac:dyDescent="0.25">
      <c r="A38" s="12" t="s">
        <v>92</v>
      </c>
      <c r="B38" s="13">
        <f>B32*E35/(B31)</f>
        <v>1.2230825140868726</v>
      </c>
      <c r="C38" s="14"/>
      <c r="D38" s="12" t="s">
        <v>93</v>
      </c>
      <c r="E38" s="13">
        <f>E32*E35/(E31)</f>
        <v>1.0566241984249523</v>
      </c>
    </row>
    <row r="40" spans="1:6" x14ac:dyDescent="0.25">
      <c r="A40" s="6" t="s">
        <v>59</v>
      </c>
      <c r="B40" s="5"/>
      <c r="D40" s="1"/>
      <c r="E40" s="5"/>
    </row>
    <row r="42" spans="1:6" ht="18" x14ac:dyDescent="0.35">
      <c r="A42" s="1" t="s">
        <v>56</v>
      </c>
      <c r="B42" s="3">
        <f>1.5*B17*1000/(B3*B4)</f>
        <v>0.91250962962962967</v>
      </c>
      <c r="C42" t="s">
        <v>16</v>
      </c>
      <c r="D42" s="1" t="s">
        <v>73</v>
      </c>
      <c r="E42" s="3">
        <f>1.5*E17*1000/(B3*B4)</f>
        <v>0.7041762962962963</v>
      </c>
      <c r="F42" t="s">
        <v>16</v>
      </c>
    </row>
    <row r="43" spans="1:6" ht="18" x14ac:dyDescent="0.35">
      <c r="A43" s="1" t="s">
        <v>57</v>
      </c>
      <c r="B43" s="3">
        <f>B19*$H$4/SLU!$E$2</f>
        <v>1.5458920628602537</v>
      </c>
      <c r="C43" t="s">
        <v>16</v>
      </c>
      <c r="D43" s="1" t="s">
        <v>74</v>
      </c>
      <c r="E43" s="3">
        <f>E19*$H$4/SLU!$E$2</f>
        <v>1.0305947085735023</v>
      </c>
      <c r="F43" t="s">
        <v>16</v>
      </c>
    </row>
    <row r="45" spans="1:6" ht="18" x14ac:dyDescent="0.35">
      <c r="A45" s="1" t="s">
        <v>96</v>
      </c>
      <c r="B45" s="5">
        <f>B42/B43</f>
        <v>0.59028029935109327</v>
      </c>
      <c r="D45" s="1" t="s">
        <v>96</v>
      </c>
      <c r="E45" s="5">
        <f>E42/E43</f>
        <v>0.68327179485617773</v>
      </c>
    </row>
    <row r="46" spans="1:6" ht="18" x14ac:dyDescent="0.35">
      <c r="A46" s="1" t="s">
        <v>54</v>
      </c>
      <c r="B46" s="5">
        <f>B43/B42</f>
        <v>1.6941104100870716</v>
      </c>
      <c r="D46" s="1" t="s">
        <v>55</v>
      </c>
      <c r="E46" s="5">
        <f>E43/E42</f>
        <v>1.4635464357349781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</vt:lpstr>
      <vt:lpstr>SLU</vt:lpstr>
      <vt:lpstr>SLE</vt:lpstr>
      <vt:lpstr>TravePrincipale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Docente</cp:lastModifiedBy>
  <dcterms:created xsi:type="dcterms:W3CDTF">2012-03-02T08:07:01Z</dcterms:created>
  <dcterms:modified xsi:type="dcterms:W3CDTF">2014-12-19T10:09:25Z</dcterms:modified>
</cp:coreProperties>
</file>